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0392" windowHeight="9720" activeTab="0"/>
  </bookViews>
  <sheets>
    <sheet name="Kara's Calculation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<sst xmlns="http://schemas.openxmlformats.org/spreadsheetml/2006/main" count="62" uniqueCount="56">
  <si>
    <t>Menactra</t>
  </si>
  <si>
    <t>Cost</t>
  </si>
  <si>
    <t>Retail</t>
  </si>
  <si>
    <t>Profit</t>
  </si>
  <si>
    <t>Number</t>
  </si>
  <si>
    <t>Travel Fold Cane</t>
  </si>
  <si>
    <t>Pill Case</t>
  </si>
  <si>
    <t>Women's Travel Kit</t>
  </si>
  <si>
    <t>Men's Travel Kit</t>
  </si>
  <si>
    <t>Wet Wipes (18/box)</t>
  </si>
  <si>
    <t>Water Purificatin Tabs (12/bag)</t>
  </si>
  <si>
    <r>
      <t>OTC Items</t>
    </r>
    <r>
      <rPr>
        <b/>
        <sz val="9"/>
        <rFont val="Arial"/>
        <family val="2"/>
      </rPr>
      <t xml:space="preserve"> (10/11-06/11)</t>
    </r>
  </si>
  <si>
    <t xml:space="preserve">Go Girl </t>
  </si>
  <si>
    <t>Travel Toothebrush Holder</t>
  </si>
  <si>
    <t>Travel Dental Kit</t>
  </si>
  <si>
    <t>Ben - Deet Wipes (singles)</t>
  </si>
  <si>
    <t>Ben - Deet Wipes (12 pk)</t>
  </si>
  <si>
    <t>TOTAL</t>
  </si>
  <si>
    <t>Oral Rehydration Salts ( 3 pk/box)</t>
  </si>
  <si>
    <t>Ben's 30% - Deet Pump (1.25 oz.)</t>
  </si>
  <si>
    <t>Stomach Relief (Bismuth Subsalicylate)</t>
  </si>
  <si>
    <t>Antacid Tabs (generic tums)</t>
  </si>
  <si>
    <t>Wet Ones</t>
  </si>
  <si>
    <t>Re-nu Travel Kit (contact care B&amp;L)</t>
  </si>
  <si>
    <t>Pocket Tissues</t>
  </si>
  <si>
    <t>Ben - Pump Spray (4 oz)</t>
  </si>
  <si>
    <t>Solarcaine</t>
  </si>
  <si>
    <t>Ivy Dry</t>
  </si>
  <si>
    <t>Itch-X</t>
  </si>
  <si>
    <t>Bull Frog Mosquito</t>
  </si>
  <si>
    <t>Duration Clothing Gear Mosquito Treatment</t>
  </si>
  <si>
    <t>Tylenol Pkt</t>
  </si>
  <si>
    <t>MISC.</t>
  </si>
  <si>
    <r>
      <t xml:space="preserve">Travax Software </t>
    </r>
    <r>
      <rPr>
        <sz val="9"/>
        <rFont val="Arial"/>
        <family val="2"/>
      </rPr>
      <t>(per yr)</t>
    </r>
  </si>
  <si>
    <t>Ed Appt 30 min (Resident)</t>
  </si>
  <si>
    <t>Ed Appt 30 min(RPh)</t>
  </si>
  <si>
    <t xml:space="preserve">            </t>
  </si>
  <si>
    <t>HEP A</t>
  </si>
  <si>
    <t>HEP B</t>
  </si>
  <si>
    <t>Typhim (IM Typhoid)</t>
  </si>
  <si>
    <t>Adacel (Tdap)</t>
  </si>
  <si>
    <t>MMRII</t>
  </si>
  <si>
    <t>Other Travel Medication Prophylaxis and/or Treatment</t>
  </si>
  <si>
    <r>
      <t xml:space="preserve">Mefloquine </t>
    </r>
    <r>
      <rPr>
        <sz val="9"/>
        <rFont val="Arial"/>
        <family val="2"/>
      </rPr>
      <t>(reimbursement average per pt - since duration is different and amt is different)</t>
    </r>
  </si>
  <si>
    <t>Anti-Diarrheal (Loperamide)</t>
  </si>
  <si>
    <t>Loperamide - SEE OTC SALES</t>
  </si>
  <si>
    <t>Azithromycin 500 MG (2 TABS)</t>
  </si>
  <si>
    <t>Ciprofloxacin 500 MG (6 TABS)</t>
  </si>
  <si>
    <t>TOTAL COST</t>
  </si>
  <si>
    <t>TOTAL RETAIL</t>
  </si>
  <si>
    <t>TOTAL PROFIT</t>
  </si>
  <si>
    <t>Collapsable Water Bottle</t>
  </si>
  <si>
    <r>
      <t xml:space="preserve">Vaccines </t>
    </r>
    <r>
      <rPr>
        <b/>
        <sz val="9"/>
        <rFont val="Arial"/>
        <family val="2"/>
      </rPr>
      <t>(10/1/10-10/1/11) - reimbursement averaged</t>
    </r>
  </si>
  <si>
    <r>
      <t xml:space="preserve">Vivotif (Oral Typhoid </t>
    </r>
    <r>
      <rPr>
        <sz val="8"/>
        <rFont val="Arial"/>
        <family val="2"/>
      </rPr>
      <t>4 CAPS/NUMBER</t>
    </r>
    <r>
      <rPr>
        <sz val="10"/>
        <rFont val="Arial"/>
        <family val="0"/>
      </rPr>
      <t>)</t>
    </r>
  </si>
  <si>
    <t>ADMINISTRATION FEES</t>
  </si>
  <si>
    <r>
      <t xml:space="preserve">Items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were missing in the last follow-up report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</si>
</sst>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33" borderId="0" xfId="0" applyFont="1" applyFill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8</xdr:row>
      <xdr:rowOff>104775</xdr:rowOff>
    </xdr:from>
    <xdr:to>
      <xdr:col>10</xdr:col>
      <xdr:colOff>514350</xdr:colOff>
      <xdr:row>16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76825" y="1409700"/>
          <a:ext cx="3686175" cy="1333500"/>
        </a:xfrm>
        <a:prstGeom prst="rect">
          <a:avLst/>
        </a:prstGeom>
        <a:solidFill>
          <a:srgbClr val="FFFFFF"/>
        </a:solidFill>
        <a:ln w="15875" cmpd="dbl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Key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$67/hr Pharmacist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$26.40/hr Resident Time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 = 5 minutes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RPh          $5.58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Resident $2.20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1" width="33.00390625" style="0" customWidth="1"/>
    <col min="3" max="3" width="8.8515625" style="1" customWidth="1"/>
    <col min="5" max="5" width="8.8515625" style="2" customWidth="1"/>
    <col min="6" max="6" width="4.57421875" style="16" customWidth="1"/>
    <col min="7" max="7" width="20.140625" style="0" customWidth="1"/>
    <col min="8" max="9" width="10.421875" style="0" customWidth="1"/>
  </cols>
  <sheetData>
    <row r="1" spans="1:11" s="4" customFormat="1" ht="13.5">
      <c r="A1" s="4" t="s">
        <v>11</v>
      </c>
      <c r="B1" s="4" t="s">
        <v>4</v>
      </c>
      <c r="C1" s="5" t="s">
        <v>1</v>
      </c>
      <c r="D1" s="4" t="s">
        <v>2</v>
      </c>
      <c r="E1" s="6" t="s">
        <v>3</v>
      </c>
      <c r="F1" s="15"/>
      <c r="G1" s="4" t="s">
        <v>32</v>
      </c>
      <c r="H1" s="4" t="s">
        <v>4</v>
      </c>
      <c r="I1" s="5" t="s">
        <v>1</v>
      </c>
      <c r="J1" s="4" t="s">
        <v>2</v>
      </c>
      <c r="K1" s="6" t="s">
        <v>3</v>
      </c>
    </row>
    <row r="2" spans="1:11" ht="12.75">
      <c r="A2" s="3" t="s">
        <v>5</v>
      </c>
      <c r="B2" s="14">
        <v>6</v>
      </c>
      <c r="C2" s="1">
        <f>9.29*B2</f>
        <v>55.739999999999995</v>
      </c>
      <c r="D2">
        <f>13.27*B2</f>
        <v>79.62</v>
      </c>
      <c r="E2" s="2">
        <f aca="true" t="shared" si="0" ref="E2:E28">D2-C2</f>
        <v>23.88000000000001</v>
      </c>
      <c r="G2" s="3" t="s">
        <v>33</v>
      </c>
      <c r="H2" s="3">
        <v>1</v>
      </c>
      <c r="I2" s="1">
        <v>995</v>
      </c>
      <c r="J2">
        <v>0</v>
      </c>
      <c r="K2" s="2">
        <f>J2-I2</f>
        <v>-995</v>
      </c>
    </row>
    <row r="3" spans="1:11" ht="12.75">
      <c r="A3" s="3" t="s">
        <v>6</v>
      </c>
      <c r="B3" s="14">
        <v>25</v>
      </c>
      <c r="C3" s="1">
        <f>2.31*B3</f>
        <v>57.75</v>
      </c>
      <c r="D3">
        <f>4.39*B3</f>
        <v>109.74999999999999</v>
      </c>
      <c r="E3" s="2">
        <f t="shared" si="0"/>
        <v>51.999999999999986</v>
      </c>
      <c r="G3" s="3" t="s">
        <v>35</v>
      </c>
      <c r="H3" s="3">
        <v>9</v>
      </c>
      <c r="I3" s="1">
        <f>33.5*H3</f>
        <v>301.5</v>
      </c>
      <c r="J3">
        <f>40*H3</f>
        <v>360</v>
      </c>
      <c r="K3" s="2">
        <f>J3-I3</f>
        <v>58.5</v>
      </c>
    </row>
    <row r="4" spans="1:11" ht="12.75">
      <c r="A4" s="3" t="s">
        <v>7</v>
      </c>
      <c r="B4" s="14">
        <v>7</v>
      </c>
      <c r="C4" s="1">
        <f>6.39*B4</f>
        <v>44.73</v>
      </c>
      <c r="D4">
        <f>8.73*B4</f>
        <v>61.11</v>
      </c>
      <c r="E4" s="2">
        <f t="shared" si="0"/>
        <v>16.380000000000003</v>
      </c>
      <c r="G4" s="3" t="s">
        <v>34</v>
      </c>
      <c r="H4">
        <v>15</v>
      </c>
      <c r="I4" s="1">
        <f>13.2*H4</f>
        <v>198</v>
      </c>
      <c r="J4">
        <f>40*H4</f>
        <v>600</v>
      </c>
      <c r="K4" s="2">
        <f>J4-I4</f>
        <v>402</v>
      </c>
    </row>
    <row r="5" spans="1:11" ht="12.75">
      <c r="A5" s="3" t="s">
        <v>8</v>
      </c>
      <c r="B5" s="14">
        <v>3</v>
      </c>
      <c r="C5" s="1">
        <f>6.89*B5</f>
        <v>20.669999999999998</v>
      </c>
      <c r="D5">
        <f>9.84*B5</f>
        <v>29.52</v>
      </c>
      <c r="E5" s="2">
        <f t="shared" si="0"/>
        <v>8.850000000000001</v>
      </c>
      <c r="G5" s="9" t="s">
        <v>17</v>
      </c>
      <c r="H5" s="10"/>
      <c r="I5" s="11">
        <f>SUM(I2:I4)</f>
        <v>1494.5</v>
      </c>
      <c r="J5" s="10">
        <f>SUM(J2:J4)</f>
        <v>960</v>
      </c>
      <c r="K5" s="12">
        <f>SUM(K2:K4)</f>
        <v>-534.5</v>
      </c>
    </row>
    <row r="6" spans="1:9" ht="12.75">
      <c r="A6" s="3" t="s">
        <v>9</v>
      </c>
      <c r="B6" s="14">
        <v>19</v>
      </c>
      <c r="C6" s="1">
        <f>0.75*B6</f>
        <v>14.25</v>
      </c>
      <c r="D6">
        <f>1*B6</f>
        <v>19</v>
      </c>
      <c r="E6" s="2">
        <f t="shared" si="0"/>
        <v>4.75</v>
      </c>
      <c r="I6" s="3" t="s">
        <v>36</v>
      </c>
    </row>
    <row r="7" spans="1:5" ht="12.75">
      <c r="A7" s="3" t="s">
        <v>10</v>
      </c>
      <c r="B7" s="14">
        <v>2</v>
      </c>
      <c r="C7" s="1">
        <f>6.25*B7</f>
        <v>12.5</v>
      </c>
      <c r="D7">
        <f>12.5*B7</f>
        <v>25</v>
      </c>
      <c r="E7" s="2">
        <f t="shared" si="0"/>
        <v>12.5</v>
      </c>
    </row>
    <row r="8" spans="1:5" ht="12.75">
      <c r="A8" s="11" t="s">
        <v>51</v>
      </c>
      <c r="B8" s="14">
        <v>2</v>
      </c>
      <c r="C8" s="1">
        <f>9.5*B8</f>
        <v>19</v>
      </c>
      <c r="D8">
        <f>17.5*B8</f>
        <v>35</v>
      </c>
      <c r="E8" s="2">
        <f t="shared" si="0"/>
        <v>16</v>
      </c>
    </row>
    <row r="9" spans="1:5" ht="12.75">
      <c r="A9" s="3" t="s">
        <v>12</v>
      </c>
      <c r="B9" s="14">
        <v>3</v>
      </c>
      <c r="C9" s="1">
        <f>6.5*B9</f>
        <v>19.5</v>
      </c>
      <c r="D9">
        <f>13*B9</f>
        <v>39</v>
      </c>
      <c r="E9" s="2">
        <f t="shared" si="0"/>
        <v>19.5</v>
      </c>
    </row>
    <row r="10" spans="1:5" ht="12.75">
      <c r="A10" s="3" t="s">
        <v>13</v>
      </c>
      <c r="B10" s="14">
        <v>2</v>
      </c>
      <c r="C10" s="1">
        <f>0.6*B10</f>
        <v>1.2</v>
      </c>
      <c r="D10">
        <f>1*B10</f>
        <v>2</v>
      </c>
      <c r="E10" s="2">
        <f t="shared" si="0"/>
        <v>0.8</v>
      </c>
    </row>
    <row r="11" spans="1:5" ht="12.75">
      <c r="A11" s="3" t="s">
        <v>14</v>
      </c>
      <c r="B11" s="14">
        <v>1</v>
      </c>
      <c r="C11" s="1">
        <f>3.78*B11</f>
        <v>3.78</v>
      </c>
      <c r="D11">
        <f>5.4*B11</f>
        <v>5.4</v>
      </c>
      <c r="E11" s="2">
        <f t="shared" si="0"/>
        <v>1.6200000000000006</v>
      </c>
    </row>
    <row r="12" spans="1:5" ht="12.75">
      <c r="A12" s="3" t="s">
        <v>15</v>
      </c>
      <c r="B12" s="14">
        <v>48</v>
      </c>
      <c r="C12" s="1">
        <f>0.33*B12</f>
        <v>15.84</v>
      </c>
      <c r="D12">
        <f>0.75*B12</f>
        <v>36</v>
      </c>
      <c r="E12" s="2">
        <f t="shared" si="0"/>
        <v>20.16</v>
      </c>
    </row>
    <row r="13" spans="1:5" ht="12.75">
      <c r="A13" s="3" t="s">
        <v>16</v>
      </c>
      <c r="B13" s="14">
        <v>2</v>
      </c>
      <c r="C13" s="1">
        <f>2.99*B13</f>
        <v>5.98</v>
      </c>
      <c r="D13">
        <f>9*B13</f>
        <v>18</v>
      </c>
      <c r="E13" s="2">
        <f t="shared" si="0"/>
        <v>12.02</v>
      </c>
    </row>
    <row r="14" spans="1:5" ht="12.75">
      <c r="A14" s="3" t="s">
        <v>25</v>
      </c>
      <c r="B14" s="14">
        <v>5</v>
      </c>
      <c r="C14" s="1">
        <f>2.83*B14</f>
        <v>14.15</v>
      </c>
      <c r="D14">
        <f>4.04*B14</f>
        <v>20.2</v>
      </c>
      <c r="E14" s="2">
        <f t="shared" si="0"/>
        <v>6.049999999999999</v>
      </c>
    </row>
    <row r="15" spans="1:5" ht="12.75">
      <c r="A15" s="3" t="s">
        <v>19</v>
      </c>
      <c r="B15" s="14">
        <v>2</v>
      </c>
      <c r="C15" s="1">
        <f>2.25*B15</f>
        <v>4.5</v>
      </c>
      <c r="D15">
        <f>5*B15</f>
        <v>10</v>
      </c>
      <c r="E15" s="2">
        <f t="shared" si="0"/>
        <v>5.5</v>
      </c>
    </row>
    <row r="16" spans="1:5" ht="12.75">
      <c r="A16" s="3" t="s">
        <v>18</v>
      </c>
      <c r="B16" s="14">
        <v>5</v>
      </c>
      <c r="C16" s="1">
        <f>3.25*B16</f>
        <v>16.25</v>
      </c>
      <c r="D16">
        <f>6.5*B16</f>
        <v>32.5</v>
      </c>
      <c r="E16" s="2">
        <f t="shared" si="0"/>
        <v>16.25</v>
      </c>
    </row>
    <row r="17" spans="1:5" ht="12.75">
      <c r="A17" s="3" t="s">
        <v>44</v>
      </c>
      <c r="B17" s="14">
        <v>14</v>
      </c>
      <c r="C17" s="1">
        <f>1.84*B17</f>
        <v>25.76</v>
      </c>
      <c r="D17">
        <f>5.49*B17</f>
        <v>76.86</v>
      </c>
      <c r="E17" s="2">
        <f t="shared" si="0"/>
        <v>51.099999999999994</v>
      </c>
    </row>
    <row r="18" spans="1:5" ht="12.75">
      <c r="A18" s="3" t="s">
        <v>20</v>
      </c>
      <c r="B18" s="14">
        <v>5</v>
      </c>
      <c r="C18" s="1">
        <f>2.73*B18</f>
        <v>13.65</v>
      </c>
      <c r="D18">
        <f>3.29*B18</f>
        <v>16.45</v>
      </c>
      <c r="E18" s="2">
        <f t="shared" si="0"/>
        <v>2.799999999999999</v>
      </c>
    </row>
    <row r="19" spans="1:5" ht="12.75">
      <c r="A19" s="3" t="s">
        <v>21</v>
      </c>
      <c r="B19" s="14">
        <v>36</v>
      </c>
      <c r="C19" s="1">
        <f>2.34*B19</f>
        <v>84.24</v>
      </c>
      <c r="D19">
        <f>4.39*B19</f>
        <v>158.04</v>
      </c>
      <c r="E19" s="2">
        <f t="shared" si="0"/>
        <v>73.8</v>
      </c>
    </row>
    <row r="20" spans="1:5" ht="12.75">
      <c r="A20" s="3" t="s">
        <v>22</v>
      </c>
      <c r="B20" s="14">
        <v>8</v>
      </c>
      <c r="C20" s="1">
        <f>0.97*B20</f>
        <v>7.76</v>
      </c>
      <c r="D20">
        <f>1.24*B20</f>
        <v>9.92</v>
      </c>
      <c r="E20" s="2">
        <f t="shared" si="0"/>
        <v>2.16</v>
      </c>
    </row>
    <row r="21" spans="1:8" ht="12.75">
      <c r="A21" s="3" t="s">
        <v>23</v>
      </c>
      <c r="B21" s="14">
        <v>1</v>
      </c>
      <c r="C21" s="1">
        <f>1.99*B21</f>
        <v>1.99</v>
      </c>
      <c r="D21">
        <f>3.75*B21</f>
        <v>3.75</v>
      </c>
      <c r="E21" s="2">
        <f t="shared" si="0"/>
        <v>1.76</v>
      </c>
      <c r="G21" s="10" t="s">
        <v>48</v>
      </c>
      <c r="H21" s="11">
        <f>C29+C47+I5</f>
        <v>10668.689999999999</v>
      </c>
    </row>
    <row r="22" spans="1:8" ht="12.75">
      <c r="A22" s="3" t="s">
        <v>24</v>
      </c>
      <c r="B22" s="14">
        <v>76</v>
      </c>
      <c r="C22" s="1">
        <f>0.17*B22</f>
        <v>12.920000000000002</v>
      </c>
      <c r="D22">
        <f>0.35*B22</f>
        <v>26.599999999999998</v>
      </c>
      <c r="E22" s="2">
        <f t="shared" si="0"/>
        <v>13.679999999999996</v>
      </c>
      <c r="G22" s="10" t="s">
        <v>49</v>
      </c>
      <c r="H22" s="10">
        <f>D29+D47+J5</f>
        <v>14436.11</v>
      </c>
    </row>
    <row r="23" spans="1:9" ht="12.75">
      <c r="A23" s="3" t="s">
        <v>26</v>
      </c>
      <c r="B23" s="14">
        <v>5</v>
      </c>
      <c r="C23" s="1">
        <f>4.43*B23</f>
        <v>22.15</v>
      </c>
      <c r="D23">
        <f>6.73*B23</f>
        <v>33.650000000000006</v>
      </c>
      <c r="E23" s="2">
        <f t="shared" si="0"/>
        <v>11.500000000000007</v>
      </c>
      <c r="G23" s="10" t="s">
        <v>50</v>
      </c>
      <c r="H23" s="12">
        <f>E29+E47+K5</f>
        <v>3767.42</v>
      </c>
      <c r="I23">
        <f>H22-H21</f>
        <v>3767.420000000002</v>
      </c>
    </row>
    <row r="24" spans="1:5" ht="12.75">
      <c r="A24" s="3" t="s">
        <v>27</v>
      </c>
      <c r="B24" s="14">
        <v>8</v>
      </c>
      <c r="C24" s="1">
        <f>5.52*B24</f>
        <v>44.16</v>
      </c>
      <c r="D24">
        <f>9.39*B24</f>
        <v>75.12</v>
      </c>
      <c r="E24" s="2">
        <f t="shared" si="0"/>
        <v>30.960000000000008</v>
      </c>
    </row>
    <row r="25" spans="1:7" ht="12.75">
      <c r="A25" s="3" t="s">
        <v>28</v>
      </c>
      <c r="B25" s="14">
        <v>5</v>
      </c>
      <c r="C25" s="1">
        <f>3.28*B25</f>
        <v>16.4</v>
      </c>
      <c r="D25">
        <f>5.99*B25</f>
        <v>29.950000000000003</v>
      </c>
      <c r="E25" s="2">
        <f t="shared" si="0"/>
        <v>13.550000000000004</v>
      </c>
      <c r="G25" s="10" t="s">
        <v>55</v>
      </c>
    </row>
    <row r="26" spans="1:5" ht="12.75">
      <c r="A26" s="3" t="s">
        <v>29</v>
      </c>
      <c r="B26" s="14">
        <v>2</v>
      </c>
      <c r="C26" s="1">
        <f>6.81*B26</f>
        <v>13.62</v>
      </c>
      <c r="D26">
        <f>10.39*B26</f>
        <v>20.78</v>
      </c>
      <c r="E26" s="2">
        <f t="shared" si="0"/>
        <v>7.160000000000002</v>
      </c>
    </row>
    <row r="27" spans="1:5" ht="12.75">
      <c r="A27" s="13" t="s">
        <v>30</v>
      </c>
      <c r="B27" s="14">
        <v>1</v>
      </c>
      <c r="C27" s="1">
        <f>4.5*B27</f>
        <v>4.5</v>
      </c>
      <c r="D27">
        <f>9*B27</f>
        <v>9</v>
      </c>
      <c r="E27" s="2">
        <f t="shared" si="0"/>
        <v>4.5</v>
      </c>
    </row>
    <row r="28" spans="1:5" ht="12.75">
      <c r="A28" s="3" t="s">
        <v>31</v>
      </c>
      <c r="B28" s="14">
        <v>6</v>
      </c>
      <c r="C28" s="1">
        <f>0.18*B28</f>
        <v>1.08</v>
      </c>
      <c r="D28">
        <f>0.25*B28</f>
        <v>1.5</v>
      </c>
      <c r="E28" s="2">
        <f t="shared" si="0"/>
        <v>0.41999999999999993</v>
      </c>
    </row>
    <row r="29" spans="1:5" ht="12.75">
      <c r="A29" s="9" t="s">
        <v>17</v>
      </c>
      <c r="B29" s="10"/>
      <c r="C29" s="11">
        <f>SUM(C2:C28)</f>
        <v>554.0699999999999</v>
      </c>
      <c r="D29" s="10">
        <f>SUM(D2:D28)</f>
        <v>983.7199999999999</v>
      </c>
      <c r="E29" s="12">
        <f>SUM(E2:E28)</f>
        <v>429.65000000000015</v>
      </c>
    </row>
    <row r="31" spans="1:6" s="4" customFormat="1" ht="13.5">
      <c r="A31" s="4" t="s">
        <v>52</v>
      </c>
      <c r="C31" s="5"/>
      <c r="E31" s="6"/>
      <c r="F31" s="15"/>
    </row>
    <row r="32" spans="1:5" ht="12.75">
      <c r="A32" s="7" t="s">
        <v>37</v>
      </c>
      <c r="B32">
        <v>28</v>
      </c>
      <c r="C32" s="1">
        <f>74.82*B32</f>
        <v>2094.96</v>
      </c>
      <c r="D32">
        <f>82.92*B32</f>
        <v>2321.76</v>
      </c>
      <c r="E32" s="2">
        <f>D32-C32</f>
        <v>226.80000000000018</v>
      </c>
    </row>
    <row r="33" spans="1:5" ht="12.75">
      <c r="A33" s="7" t="s">
        <v>38</v>
      </c>
      <c r="B33">
        <v>17</v>
      </c>
      <c r="C33" s="1">
        <f>52.31*B33</f>
        <v>889.27</v>
      </c>
      <c r="D33">
        <f>72.05*B33</f>
        <v>1224.85</v>
      </c>
      <c r="E33" s="2">
        <f>D33-C33</f>
        <v>335.5799999999999</v>
      </c>
    </row>
    <row r="34" spans="1:5" ht="12.75">
      <c r="A34" s="8" t="s">
        <v>53</v>
      </c>
      <c r="B34">
        <v>35</v>
      </c>
      <c r="C34" s="1">
        <f>36.86*B34</f>
        <v>1290.1</v>
      </c>
      <c r="D34">
        <f>54.16*B34</f>
        <v>1895.6</v>
      </c>
      <c r="E34" s="2">
        <f>D34-C34</f>
        <v>605.5</v>
      </c>
    </row>
    <row r="35" spans="1:5" ht="12.75">
      <c r="A35" s="7" t="s">
        <v>39</v>
      </c>
      <c r="B35">
        <v>1</v>
      </c>
      <c r="C35" s="1">
        <v>52.01</v>
      </c>
      <c r="D35">
        <v>100</v>
      </c>
      <c r="E35" s="2">
        <f>D35-C35</f>
        <v>47.99</v>
      </c>
    </row>
    <row r="36" spans="1:5" ht="12.75">
      <c r="A36" s="7" t="s">
        <v>40</v>
      </c>
      <c r="B36">
        <v>32</v>
      </c>
      <c r="C36" s="1">
        <f>37.5*B36</f>
        <v>1200</v>
      </c>
      <c r="D36">
        <f>47.65*B36</f>
        <v>1524.8</v>
      </c>
      <c r="E36" s="2">
        <f>D36-C36</f>
        <v>324.79999999999995</v>
      </c>
    </row>
    <row r="37" spans="1:5" ht="12.75">
      <c r="A37" s="7" t="s">
        <v>41</v>
      </c>
      <c r="B37">
        <v>6</v>
      </c>
      <c r="C37" s="1">
        <f>57.48*B37</f>
        <v>344.88</v>
      </c>
      <c r="D37">
        <f>66.21*B37</f>
        <v>397.26</v>
      </c>
      <c r="E37" s="2">
        <f>D37-C37</f>
        <v>52.379999999999995</v>
      </c>
    </row>
    <row r="38" spans="1:5" ht="12.75">
      <c r="A38" s="8" t="s">
        <v>0</v>
      </c>
      <c r="B38">
        <v>14</v>
      </c>
      <c r="C38" s="1">
        <f>126.89*B38</f>
        <v>1776.46</v>
      </c>
      <c r="D38">
        <f>144.65*B38</f>
        <v>2025.1000000000001</v>
      </c>
      <c r="E38" s="2">
        <f>D38-C38</f>
        <v>248.6400000000001</v>
      </c>
    </row>
    <row r="39" spans="1:5" ht="12.75">
      <c r="A39" s="21" t="s">
        <v>54</v>
      </c>
      <c r="B39">
        <v>116</v>
      </c>
      <c r="C39" s="1">
        <f>2.09*B39</f>
        <v>242.44</v>
      </c>
      <c r="D39">
        <f>20*B39</f>
        <v>2320</v>
      </c>
      <c r="E39" s="2">
        <f>D39-C39</f>
        <v>2077.56</v>
      </c>
    </row>
    <row r="41" ht="12.75">
      <c r="A41" s="17" t="s">
        <v>42</v>
      </c>
    </row>
    <row r="42" spans="1:5" ht="36">
      <c r="A42" s="19" t="s">
        <v>43</v>
      </c>
      <c r="B42">
        <v>10</v>
      </c>
      <c r="C42" s="1">
        <f>B42*53.03</f>
        <v>530.3</v>
      </c>
      <c r="D42">
        <f>B42*62.4</f>
        <v>624</v>
      </c>
      <c r="E42" s="2">
        <f>D42-C42</f>
        <v>93.70000000000005</v>
      </c>
    </row>
    <row r="43" spans="1:3" ht="12.75">
      <c r="A43" s="18" t="s">
        <v>45</v>
      </c>
      <c r="C43" s="1">
        <v>0</v>
      </c>
    </row>
    <row r="44" spans="1:5" ht="12.75">
      <c r="A44" s="18" t="s">
        <v>46</v>
      </c>
      <c r="B44">
        <v>4</v>
      </c>
      <c r="C44" s="1">
        <f>B44*7.4</f>
        <v>29.6</v>
      </c>
      <c r="D44">
        <f>B44*10</f>
        <v>40</v>
      </c>
      <c r="E44" s="2">
        <f>D44-C44</f>
        <v>10.399999999999999</v>
      </c>
    </row>
    <row r="45" spans="1:5" ht="12.75">
      <c r="A45" s="22" t="s">
        <v>47</v>
      </c>
      <c r="B45">
        <v>6</v>
      </c>
      <c r="C45" s="1">
        <f>28.35*B45</f>
        <v>170.10000000000002</v>
      </c>
      <c r="D45">
        <f>3.17*B45</f>
        <v>19.02</v>
      </c>
      <c r="E45" s="2">
        <f>D45-C45</f>
        <v>-151.08</v>
      </c>
    </row>
    <row r="47" spans="1:6" s="10" customFormat="1" ht="12.75">
      <c r="A47" s="9" t="s">
        <v>17</v>
      </c>
      <c r="C47" s="11">
        <f>SUM(C32:C39)+SUM(C42:C45)</f>
        <v>8620.119999999999</v>
      </c>
      <c r="D47" s="10">
        <f>SUM(D32:D39)+SUM(D42:D45)</f>
        <v>12492.390000000001</v>
      </c>
      <c r="E47" s="12">
        <f>SUM(E32:E39)+SUM(E42:E45)</f>
        <v>3872.27</v>
      </c>
      <c r="F47" s="2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Booth4</dc:creator>
  <cp:keywords/>
  <dc:description/>
  <cp:lastModifiedBy>Kara Carruthers</cp:lastModifiedBy>
  <cp:lastPrinted>2011-06-24T19:56:28Z</cp:lastPrinted>
  <dcterms:created xsi:type="dcterms:W3CDTF">2011-06-24T13:58:12Z</dcterms:created>
  <dcterms:modified xsi:type="dcterms:W3CDTF">2011-10-07T16:15:39Z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